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mc:AlternateContent xmlns:mc="http://schemas.openxmlformats.org/markup-compatibility/2006">
    <mc:Choice Requires="x15">
      <x15ac:absPath xmlns:x15ac="http://schemas.microsoft.com/office/spreadsheetml/2010/11/ac" url="I:\DataCentre\Fishery\FormTemplates\Nautical Twilight Calculator\"/>
    </mc:Choice>
  </mc:AlternateContent>
  <xr:revisionPtr revIDLastSave="0" documentId="13_ncr:1_{D3823911-8D55-4127-97D2-EF8F58191BCC}" xr6:coauthVersionLast="47" xr6:coauthVersionMax="47" xr10:uidLastSave="{00000000-0000-0000-0000-000000000000}"/>
  <bookViews>
    <workbookView xWindow="-120" yWindow="-120" windowWidth="38640" windowHeight="21240" xr2:uid="{00000000-000D-0000-FFFF-FFFF00000000}"/>
  </bookViews>
  <sheets>
    <sheet name="calculator" sheetId="1" r:id="rId1"/>
  </sheets>
  <functionGroups builtInGroupCount="19"/>
  <definedNames>
    <definedName name="_xlnm.Print_Area" localSheetId="0">calculator!$A$1:$I$54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2" i="1" l="1"/>
  <c r="N26" i="1"/>
  <c r="N24" i="1"/>
  <c r="N25" i="1"/>
  <c r="A31" i="1"/>
  <c r="A32" i="1"/>
  <c r="A33" i="1"/>
  <c r="A34" i="1"/>
  <c r="A35" i="1"/>
  <c r="A36" i="1"/>
  <c r="A37" i="1"/>
  <c r="A38" i="1"/>
  <c r="A39" i="1"/>
  <c r="A40" i="1"/>
  <c r="A41" i="1"/>
  <c r="A42" i="1"/>
  <c r="A43" i="1"/>
  <c r="A44" i="1"/>
  <c r="A45" i="1"/>
  <c r="A46" i="1"/>
  <c r="A47" i="1"/>
  <c r="A48" i="1"/>
  <c r="A49" i="1"/>
  <c r="A50" i="1"/>
  <c r="A51" i="1"/>
  <c r="A52" i="1"/>
  <c r="A53" i="1"/>
  <c r="A30" i="1"/>
  <c r="A29" i="1"/>
  <c r="A7" i="1"/>
  <c r="A6" i="1"/>
  <c r="A5" i="1"/>
  <c r="G16" i="1"/>
  <c r="B27" i="1"/>
  <c r="B20" i="1"/>
  <c r="D27" i="1"/>
  <c r="D20" i="1"/>
  <c r="G13" i="1"/>
  <c r="G11" i="1"/>
  <c r="G10" i="1"/>
  <c r="G12" i="1"/>
  <c r="M28" i="1"/>
  <c r="O40" i="1"/>
  <c r="O39" i="1"/>
  <c r="O49" i="1"/>
  <c r="M39" i="1"/>
  <c r="P36" i="1"/>
  <c r="M32" i="1"/>
  <c r="M31" i="1"/>
  <c r="M46" i="1"/>
  <c r="M36" i="1"/>
  <c r="M44" i="1"/>
  <c r="M33" i="1"/>
  <c r="P46" i="1"/>
  <c r="P35" i="1"/>
  <c r="O37" i="1"/>
  <c r="N32" i="1"/>
  <c r="N41" i="1"/>
  <c r="P48" i="1"/>
  <c r="O30" i="1"/>
  <c r="O48" i="1"/>
  <c r="P40" i="1"/>
  <c r="O42" i="1"/>
  <c r="O33" i="1"/>
  <c r="M30" i="1"/>
  <c r="N33" i="1"/>
  <c r="M48" i="1"/>
  <c r="O47" i="1"/>
  <c r="N34" i="1"/>
  <c r="N36" i="1"/>
  <c r="O52" i="1"/>
  <c r="M34" i="1"/>
  <c r="M49" i="1"/>
  <c r="P33" i="1"/>
  <c r="O38" i="1"/>
  <c r="P32" i="1"/>
  <c r="N42" i="1"/>
  <c r="O32" i="1"/>
  <c r="P43" i="1"/>
  <c r="M47" i="1"/>
  <c r="M42" i="1"/>
  <c r="M40" i="1"/>
  <c r="N49" i="1"/>
  <c r="O41" i="1"/>
  <c r="P41" i="1"/>
  <c r="O34" i="1"/>
  <c r="N44" i="1"/>
  <c r="O53" i="1"/>
  <c r="O45" i="1"/>
  <c r="M41" i="1"/>
  <c r="N40" i="1"/>
  <c r="M38" i="1"/>
  <c r="N52" i="1"/>
  <c r="P30" i="1"/>
  <c r="O50" i="1"/>
  <c r="N48" i="1"/>
  <c r="O46" i="1"/>
  <c r="O44" i="1"/>
  <c r="N38" i="1"/>
  <c r="M52" i="1"/>
  <c r="P38" i="1"/>
  <c r="P44" i="1"/>
  <c r="N30" i="1"/>
  <c r="P51" i="1"/>
  <c r="N29" i="1"/>
  <c r="N46" i="1"/>
  <c r="N50" i="1"/>
  <c r="M50" i="1"/>
  <c r="P52" i="1"/>
  <c r="P29" i="1"/>
  <c r="O36" i="1"/>
  <c r="C50" i="1" l="1"/>
  <c r="E34" i="1"/>
  <c r="D43" i="1"/>
  <c r="E33" i="1"/>
  <c r="B30" i="1"/>
  <c r="B46" i="1"/>
  <c r="C36" i="1"/>
  <c r="E30" i="1"/>
  <c r="E49" i="1"/>
  <c r="B42" i="1"/>
  <c r="E40" i="1"/>
  <c r="B36" i="1"/>
  <c r="C33" i="1"/>
  <c r="B31" i="1"/>
  <c r="D29" i="1"/>
  <c r="D44" i="1"/>
  <c r="C37" i="1"/>
  <c r="E52" i="1"/>
  <c r="B41" i="1"/>
  <c r="C32" i="1"/>
  <c r="C42" i="1"/>
  <c r="B32" i="1"/>
  <c r="D52" i="1"/>
  <c r="D38" i="1"/>
  <c r="C52" i="1"/>
  <c r="C47" i="1"/>
  <c r="C45" i="1"/>
  <c r="E42" i="1"/>
  <c r="D40" i="1"/>
  <c r="D36" i="1"/>
  <c r="B50" i="1"/>
  <c r="B52" i="1"/>
  <c r="D35" i="1"/>
  <c r="B33" i="1"/>
  <c r="C53" i="1"/>
  <c r="D32" i="1"/>
  <c r="C48" i="1"/>
  <c r="B39" i="1"/>
  <c r="E50" i="1"/>
  <c r="E38" i="1"/>
  <c r="D30" i="1"/>
  <c r="B47" i="1"/>
  <c r="E44" i="1"/>
  <c r="C38" i="1"/>
  <c r="C30" i="1"/>
  <c r="C49" i="1"/>
  <c r="E46" i="1"/>
  <c r="C44" i="1"/>
  <c r="B40" i="1"/>
  <c r="B38" i="1"/>
  <c r="C34" i="1"/>
  <c r="D33" i="1"/>
  <c r="D48" i="1"/>
  <c r="C39" i="1"/>
  <c r="E29" i="1"/>
  <c r="C46" i="1"/>
  <c r="E36" i="1"/>
  <c r="B48" i="1"/>
  <c r="D41" i="1"/>
  <c r="B49" i="1"/>
  <c r="E41" i="1"/>
  <c r="C40" i="1"/>
  <c r="D51" i="1"/>
  <c r="E48" i="1"/>
  <c r="D46" i="1"/>
  <c r="B44" i="1"/>
  <c r="C41" i="1"/>
  <c r="B34" i="1"/>
  <c r="E32" i="1"/>
  <c r="B22" i="1"/>
  <c r="P28" i="1"/>
  <c r="P53" i="1"/>
  <c r="N53" i="1"/>
  <c r="M51" i="1"/>
  <c r="P39" i="1"/>
  <c r="N35" i="1"/>
  <c r="O28" i="1"/>
  <c r="N47" i="1"/>
  <c r="P31" i="1"/>
  <c r="N28" i="1"/>
  <c r="O29" i="1"/>
  <c r="P37" i="1"/>
  <c r="M43" i="1"/>
  <c r="M29" i="1"/>
  <c r="M53" i="1"/>
  <c r="M37" i="1"/>
  <c r="P45" i="1"/>
  <c r="N45" i="1"/>
  <c r="M35" i="1"/>
  <c r="O51" i="1"/>
  <c r="P34" i="1"/>
  <c r="O31" i="1"/>
  <c r="N31" i="1"/>
  <c r="N39" i="1"/>
  <c r="P50" i="1"/>
  <c r="P42" i="1"/>
  <c r="P47" i="1"/>
  <c r="O35" i="1"/>
  <c r="M45" i="1"/>
  <c r="O43" i="1"/>
  <c r="N51" i="1"/>
  <c r="P49" i="1"/>
  <c r="N43" i="1"/>
  <c r="N37" i="1"/>
  <c r="C22" i="1" l="1"/>
  <c r="D22" i="1"/>
  <c r="D49" i="1"/>
  <c r="C35" i="1"/>
  <c r="C31" i="1"/>
  <c r="E45" i="1"/>
  <c r="B37" i="1"/>
  <c r="B29" i="1"/>
  <c r="E43" i="1"/>
  <c r="D39" i="1"/>
  <c r="E51" i="1"/>
  <c r="D47" i="1"/>
  <c r="E39" i="1"/>
  <c r="D34" i="1"/>
  <c r="C51" i="1"/>
  <c r="B43" i="1"/>
  <c r="E35" i="1"/>
  <c r="B51" i="1"/>
  <c r="C43" i="1"/>
  <c r="D42" i="1"/>
  <c r="E22" i="1"/>
  <c r="D45" i="1"/>
  <c r="B53" i="1"/>
  <c r="D37" i="1"/>
  <c r="D31" i="1"/>
  <c r="E53" i="1"/>
  <c r="B45" i="1"/>
  <c r="D50" i="1"/>
  <c r="E37" i="1"/>
  <c r="E31" i="1"/>
  <c r="B35" i="1"/>
  <c r="C29" i="1"/>
  <c r="E47" i="1"/>
  <c r="D53" i="1"/>
</calcChain>
</file>

<file path=xl/sharedStrings.xml><?xml version="1.0" encoding="utf-8"?>
<sst xmlns="http://schemas.openxmlformats.org/spreadsheetml/2006/main" count="65" uniqueCount="50">
  <si>
    <t>Latitude</t>
  </si>
  <si>
    <t>Longitude</t>
  </si>
  <si>
    <t>Date</t>
  </si>
  <si>
    <t>UTC offset</t>
  </si>
  <si>
    <t>For calculation purposes only</t>
  </si>
  <si>
    <t>minutes and fraction of minutes (MM.mm)</t>
  </si>
  <si>
    <t>degrees (-DD for south)</t>
  </si>
  <si>
    <t>degrees (DD for east or  -DD for west)</t>
  </si>
  <si>
    <t>Today</t>
  </si>
  <si>
    <t>Example data input</t>
  </si>
  <si>
    <t>&lt;</t>
  </si>
  <si>
    <t>Nautical twilight times</t>
  </si>
  <si>
    <t>Nautical twilight times for today</t>
  </si>
  <si>
    <t>User-defined input</t>
  </si>
  <si>
    <t>+/– hour</t>
  </si>
  <si>
    <t>About twilight and the calculator</t>
  </si>
  <si>
    <t>Nautical twilight times for a user-defined calendar year</t>
  </si>
  <si>
    <t>User-defined position where twilight is observed</t>
  </si>
  <si>
    <t>UTC offset of the user's clock</t>
  </si>
  <si>
    <t>Decimalised positions and times</t>
  </si>
  <si>
    <t>Twilight(m)</t>
  </si>
  <si>
    <t>Twilight(e)</t>
  </si>
  <si>
    <t>Sun(r)</t>
  </si>
  <si>
    <t>Sun(s)</t>
  </si>
  <si>
    <t>Twilight</t>
  </si>
  <si>
    <t>Sunrise</t>
  </si>
  <si>
    <t>Sunset</t>
  </si>
  <si>
    <t>Language</t>
  </si>
  <si>
    <t>Paragraph1</t>
  </si>
  <si>
    <t>Paragraph2</t>
  </si>
  <si>
    <t>Paragraph3</t>
  </si>
  <si>
    <t>English</t>
  </si>
  <si>
    <t>French</t>
  </si>
  <si>
    <t>Russian</t>
  </si>
  <si>
    <t>Spanish</t>
  </si>
  <si>
    <t>Select a calendar year from the dropdown menu (click on cell) &gt;</t>
  </si>
  <si>
    <t>Select a language from the dropdown menu (click on cell) &gt;</t>
  </si>
  <si>
    <t>Nautical twilight is defined as the time in the morning and evening when the centre of the sun is 12° below the horizon.At high latitudes, the sun will not be lower than 12° below the horizon for a period in summer, and will not rise above 12° below the horizon for a period in winter.</t>
  </si>
  <si>
    <t>This calculator provides the times of nautical twilight at a user-defined position, for today and at fortnightly intervals during a selected calendar year. The times of sunrise and sunset are included, and all times are adjusted to reflect the UTC offset of the user's clock.</t>
  </si>
  <si>
    <t>The calculator is intended for use with CCAMLR's Conservation Measure 25-02 (Minimisation of the incidental mortality of seabirds in the course of longline fishing). In fisheries where this conservation measure applies, longlines must be set at night only (i.e. during the hours of darkness between the times of nautical twilight) and, wherever possible, the setting of lines should be completed at least three hours before sunrise.</t>
  </si>
  <si>
    <t>Se define crepúsculo náutico como la hora de la mañana y de la tarde cuando el centro del sol está a un ángulo de 12° por debajo del horizonte. En altas latitudes, el sol no se pondrá a un ángulo mayor de 12° por debajo del horizonte durante cierto período en el verano y no saldrá a un ángulo menor de 12° por debajo del horizonte durante cierto período en el invierno.</t>
  </si>
  <si>
    <t>Este calculador proporciona las horas de crepúsculo náutico en una posición definida por el usuario, para hoy y cada dos semanas durante un año calendario seleccionado. Se incluyen las horas de la salida y de la puesta del sol, y todas han sido ajustadas para reflejar la diferencia UTC con respecto al reloj del usuario.</t>
  </si>
  <si>
    <t>El calculador se proporciona a fin de facilitar la implementación de la Medida de Conservación 25-02 (Reducción de la mortalidad incidental de aves marinas durante la pesquería de palangre) de la CCRVMA. En pesquerías sujetas a las disposiciones de esta medida de conservación, los palangres deben ser calados solamente por la noche, es decir, en las horas de oscuridad entre las horas del crepúsculo náutico y, en la medida de lo posible, la maniobra de calado debiera finalizar como mínimo tres horas antes de la salida del sol.</t>
  </si>
  <si>
    <t>Le crépuscule nautique est défini comme correspondant au moment du matin et du soir où le centre du disque solaire est à 12° au-dessous de l'horizon. Dans les hautes latitudes, à une certaine période de l'été, le soleil ne descendra pas sous 12° au-dessous de l'horizon et, à une certaine période de l'hiver, il ne dépassera pas 12° au-dessous de l'horizon.</t>
  </si>
  <si>
    <t>Ce logiciel de calcul fournit les heures du crépuscule nautique à une position définie par l'utilisateur, pour le jour même et toutes les deux semaines d'une année civile sélectionnée. Les heures de lever et de coucher de soleil sont affichées et toutes les heures sont ajustées pour correspondre au décalage horaire de l'utilisateur par rapport à l'UTC.</t>
  </si>
  <si>
    <t>Ce logiciel de calcul est destiné à être utilisé pour l'application de la mesure de conservation 25-02 de la CCAMLR (Réduction de la mortalité accidentelle des oiseaux de mer au cours de la pêche à la palangre). Dans les pêcheries auxquelles s'applique cette mesure de conservation, les palangres ne doivent être posées que la nuit (à savoir, dans l'obscurité, entre les crépuscules nautiques) et dans la mesure du possible, les lignes ne doivent pas être posées pendant les trois heures, voire davantage, qui précèdent le lever du soleil.</t>
  </si>
  <si>
    <t>Навигационные сумерки – утреннее и вечернее время, когда центр Солнца находится под углом -12° к горизонту. На высоких широтах в течение определенного периода в летние месяцы Солнце не опускается ниже -12° к горизонту, а в течение определенного периода в зимние месяцы оно не поднимается выше -12° к горизонту.</t>
  </si>
  <si>
    <t>Этот калькулятор показывает времена навигационных сумерек на координатах, задаваемых пользователем, на сегодня и через двухнедельные интервалы в течение выбранного календарного года. Показываются времена восхода и заката Солнца; все значения времени корректируются с тем, чтобы отразить смещение относительно времени по UTC на часах пользователя.</t>
  </si>
  <si>
    <t>Калькулятор должен использоваться при соблюдении Меры по сохранению 25-02 АНТКОМ (Сведение к минимуму побочной смертности морских птиц при ярусном промысле). На промыслах, к которым применяется данная мера по сохранению, ярусы должны устанавливаться только в ночное время (т.е. в период темноты в промежутке между навигационными сумерками) и, по возможности, постановка ярусов должна заканчиваться как минимум за три часа до восхода Солнца.</t>
  </si>
  <si>
    <t>CCAMLR Calculator v2025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</si>
</sst>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C09]dd/mmm/yy;@"/>
    <numFmt numFmtId="165" formatCode="[$-F400]h:mm:ss\ AM/PM"/>
  </numFmts>
  <fonts count="17" x14ac:knownFonts="1">
    <font>
      <sz val="10"/>
      <name val="Arial"/>
    </font>
    <font>
      <sz val="10"/>
      <name val="Arial"/>
    </font>
    <font>
      <b/>
      <sz val="14"/>
      <name val="Arial"/>
      <family val="2"/>
    </font>
    <font>
      <b/>
      <sz val="10"/>
      <name val="Arial"/>
    </font>
    <font>
      <i/>
      <sz val="10"/>
      <name val="Arial"/>
    </font>
    <font>
      <sz val="8"/>
      <name val="Arial"/>
      <family val="2"/>
    </font>
    <font>
      <b/>
      <sz val="12"/>
      <name val="Arial"/>
      <family val="2"/>
    </font>
    <font>
      <sz val="12"/>
      <name val="Arial"/>
      <family val="2"/>
    </font>
    <font>
      <sz val="10"/>
      <name val="Arial"/>
      <family val="2"/>
    </font>
    <font>
      <b/>
      <sz val="10"/>
      <name val="Arial"/>
      <family val="2"/>
    </font>
    <font>
      <i/>
      <sz val="10"/>
      <name val="Arial"/>
      <family val="2"/>
    </font>
    <font>
      <b/>
      <i/>
      <sz val="10"/>
      <name val="Arial"/>
      <family val="2"/>
    </font>
    <font>
      <sz val="9"/>
      <name val="Arial"/>
      <family val="2"/>
    </font>
    <font>
      <sz val="10"/>
      <color indexed="10"/>
      <name val="Arial"/>
      <family val="2"/>
    </font>
    <font>
      <sz val="11"/>
      <name val="Calibri"/>
      <family val="2"/>
    </font>
    <font>
      <sz val="8"/>
      <name val="Arial"/>
    </font>
    <font>
      <sz val="11"/>
      <color rgb="FF3F3F76"/>
      <name val="Calibri"/>
      <family val="2"/>
      <scheme val="minor"/>
    </font>
  </fonts>
  <fills count="7">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26"/>
        <bgColor indexed="64"/>
      </patternFill>
    </fill>
    <fill>
      <patternFill patternType="solid">
        <fgColor rgb="FFFFCC99"/>
      </patternFill>
    </fill>
  </fills>
  <borders count="5">
    <border>
      <left/>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s>
  <cellStyleXfs count="2">
    <xf numFmtId="0" fontId="0" fillId="0" borderId="0"/>
    <xf numFmtId="0" fontId="16" fillId="6" borderId="4" applyNumberFormat="0" applyAlignment="0" applyProtection="0"/>
  </cellStyleXfs>
  <cellXfs count="64">
    <xf numFmtId="0" fontId="0" fillId="0" borderId="0" xfId="0"/>
    <xf numFmtId="0" fontId="2" fillId="2" borderId="0" xfId="0" applyFont="1" applyFill="1" applyAlignment="1">
      <alignment horizontal="left"/>
    </xf>
    <xf numFmtId="0" fontId="2" fillId="2" borderId="0" xfId="0" applyFont="1" applyFill="1"/>
    <xf numFmtId="0" fontId="0" fillId="2" borderId="0" xfId="0" applyFill="1"/>
    <xf numFmtId="0" fontId="0" fillId="0" borderId="0" xfId="0" applyAlignment="1">
      <alignment horizontal="right"/>
    </xf>
    <xf numFmtId="0" fontId="9" fillId="2" borderId="0" xfId="0" applyFont="1" applyFill="1" applyAlignment="1">
      <alignment horizontal="left"/>
    </xf>
    <xf numFmtId="0" fontId="6" fillId="2" borderId="0" xfId="0" applyFont="1" applyFill="1" applyAlignment="1">
      <alignment horizontal="left"/>
    </xf>
    <xf numFmtId="0" fontId="1" fillId="2" borderId="0" xfId="0" applyFont="1" applyFill="1" applyAlignment="1">
      <alignment horizontal="left"/>
    </xf>
    <xf numFmtId="0" fontId="8" fillId="2" borderId="0" xfId="0" applyFont="1" applyFill="1"/>
    <xf numFmtId="0" fontId="6" fillId="2" borderId="0" xfId="0" applyFont="1" applyFill="1"/>
    <xf numFmtId="0" fontId="9" fillId="3" borderId="0" xfId="0" applyFont="1" applyFill="1" applyAlignment="1">
      <alignment horizontal="left"/>
    </xf>
    <xf numFmtId="0" fontId="8" fillId="3" borderId="0" xfId="0" applyFont="1" applyFill="1" applyAlignment="1">
      <alignment horizontal="center"/>
    </xf>
    <xf numFmtId="0" fontId="7" fillId="4" borderId="0" xfId="0" applyFont="1" applyFill="1"/>
    <xf numFmtId="0" fontId="5" fillId="4" borderId="0" xfId="0" applyFont="1" applyFill="1" applyAlignment="1">
      <alignment horizontal="right"/>
    </xf>
    <xf numFmtId="0" fontId="7" fillId="0" borderId="0" xfId="0" applyFont="1"/>
    <xf numFmtId="0" fontId="0" fillId="2" borderId="1" xfId="0" applyFill="1" applyBorder="1" applyAlignment="1">
      <alignment horizontal="left"/>
    </xf>
    <xf numFmtId="0" fontId="4" fillId="2" borderId="1" xfId="0" applyFont="1" applyFill="1" applyBorder="1"/>
    <xf numFmtId="0" fontId="0" fillId="3" borderId="0" xfId="0" applyFill="1" applyAlignment="1">
      <alignment horizontal="right"/>
    </xf>
    <xf numFmtId="0" fontId="13" fillId="2" borderId="0" xfId="0" applyFont="1" applyFill="1"/>
    <xf numFmtId="0" fontId="8" fillId="4" borderId="0" xfId="0" applyFont="1" applyFill="1" applyAlignment="1">
      <alignment horizontal="right"/>
    </xf>
    <xf numFmtId="0" fontId="5" fillId="4" borderId="0" xfId="0" applyFont="1" applyFill="1"/>
    <xf numFmtId="0" fontId="5" fillId="0" borderId="0" xfId="0" applyFont="1"/>
    <xf numFmtId="0" fontId="0" fillId="2" borderId="2" xfId="0" applyFill="1" applyBorder="1" applyAlignment="1">
      <alignment horizontal="left"/>
    </xf>
    <xf numFmtId="0" fontId="4" fillId="2" borderId="2" xfId="0" applyFont="1" applyFill="1" applyBorder="1"/>
    <xf numFmtId="0" fontId="0" fillId="2" borderId="0" xfId="0" applyFill="1" applyAlignment="1">
      <alignment horizontal="left"/>
    </xf>
    <xf numFmtId="0" fontId="4" fillId="2" borderId="0" xfId="0" applyFont="1" applyFill="1"/>
    <xf numFmtId="0" fontId="4" fillId="3" borderId="0" xfId="0" applyFont="1" applyFill="1"/>
    <xf numFmtId="0" fontId="0" fillId="4" borderId="0" xfId="0" applyFill="1" applyAlignment="1">
      <alignment horizontal="right"/>
    </xf>
    <xf numFmtId="0" fontId="8" fillId="2" borderId="3" xfId="0" applyFont="1" applyFill="1" applyBorder="1" applyAlignment="1">
      <alignment horizontal="left"/>
    </xf>
    <xf numFmtId="0" fontId="10" fillId="2" borderId="3" xfId="0" quotePrefix="1" applyFont="1" applyFill="1" applyBorder="1"/>
    <xf numFmtId="0" fontId="0" fillId="3" borderId="0" xfId="0" applyFill="1"/>
    <xf numFmtId="0" fontId="0" fillId="4" borderId="0" xfId="0" applyFill="1"/>
    <xf numFmtId="0" fontId="9" fillId="2" borderId="1" xfId="0" applyFont="1" applyFill="1" applyBorder="1" applyAlignment="1">
      <alignment horizontal="left"/>
    </xf>
    <xf numFmtId="0" fontId="0" fillId="0" borderId="1" xfId="0" applyBorder="1"/>
    <xf numFmtId="0" fontId="9" fillId="3" borderId="0" xfId="0" applyFont="1" applyFill="1" applyAlignment="1">
      <alignment horizontal="center"/>
    </xf>
    <xf numFmtId="0" fontId="9" fillId="2" borderId="2" xfId="0" applyFont="1" applyFill="1" applyBorder="1" applyAlignment="1">
      <alignment horizontal="left"/>
    </xf>
    <xf numFmtId="0" fontId="9" fillId="2" borderId="2" xfId="0" applyFont="1" applyFill="1" applyBorder="1" applyAlignment="1">
      <alignment horizontal="center"/>
    </xf>
    <xf numFmtId="0" fontId="11" fillId="2" borderId="2" xfId="0" applyFont="1" applyFill="1" applyBorder="1" applyAlignment="1">
      <alignment horizontal="center"/>
    </xf>
    <xf numFmtId="164" fontId="14" fillId="5" borderId="3" xfId="1" applyNumberFormat="1" applyFont="1" applyFill="1" applyBorder="1" applyAlignment="1" applyProtection="1">
      <alignment horizontal="left"/>
    </xf>
    <xf numFmtId="20" fontId="0" fillId="5" borderId="3" xfId="0" applyNumberFormat="1" applyFill="1" applyBorder="1" applyAlignment="1">
      <alignment horizontal="center"/>
    </xf>
    <xf numFmtId="20" fontId="10" fillId="5" borderId="3" xfId="0" applyNumberFormat="1" applyFont="1" applyFill="1" applyBorder="1" applyAlignment="1">
      <alignment horizontal="center"/>
    </xf>
    <xf numFmtId="20" fontId="0" fillId="3" borderId="0" xfId="0" applyNumberFormat="1" applyFill="1" applyAlignment="1">
      <alignment horizontal="center"/>
    </xf>
    <xf numFmtId="0" fontId="0" fillId="2" borderId="3" xfId="0" applyFill="1" applyBorder="1"/>
    <xf numFmtId="0" fontId="9" fillId="2" borderId="0" xfId="0" applyFont="1" applyFill="1" applyAlignment="1">
      <alignment horizontal="center"/>
    </xf>
    <xf numFmtId="0" fontId="3" fillId="2" borderId="0" xfId="0" applyFont="1" applyFill="1"/>
    <xf numFmtId="0" fontId="0" fillId="0" borderId="0" xfId="0" applyAlignment="1">
      <alignment horizontal="left"/>
    </xf>
    <xf numFmtId="0" fontId="11" fillId="2" borderId="0" xfId="0" applyFont="1" applyFill="1" applyAlignment="1">
      <alignment horizontal="center"/>
    </xf>
    <xf numFmtId="164" fontId="14" fillId="5" borderId="1" xfId="1" applyNumberFormat="1" applyFont="1" applyFill="1" applyBorder="1" applyAlignment="1" applyProtection="1">
      <alignment horizontal="left"/>
    </xf>
    <xf numFmtId="20" fontId="0" fillId="2" borderId="0" xfId="0" applyNumberFormat="1" applyFill="1" applyAlignment="1">
      <alignment horizontal="center"/>
    </xf>
    <xf numFmtId="164" fontId="14" fillId="5" borderId="0" xfId="1" applyNumberFormat="1" applyFont="1" applyFill="1" applyBorder="1" applyAlignment="1" applyProtection="1">
      <alignment horizontal="left"/>
    </xf>
    <xf numFmtId="165" fontId="0" fillId="0" borderId="0" xfId="0" applyNumberFormat="1"/>
    <xf numFmtId="164" fontId="14" fillId="5" borderId="2" xfId="1" applyNumberFormat="1" applyFont="1" applyFill="1" applyBorder="1" applyAlignment="1" applyProtection="1">
      <alignment horizontal="left"/>
    </xf>
    <xf numFmtId="2" fontId="0" fillId="0" borderId="0" xfId="0" applyNumberFormat="1" applyAlignment="1">
      <alignment horizontal="left"/>
    </xf>
    <xf numFmtId="2" fontId="0" fillId="0" borderId="0" xfId="0" applyNumberFormat="1"/>
    <xf numFmtId="0" fontId="0" fillId="3" borderId="1" xfId="0" applyFill="1" applyBorder="1" applyAlignment="1" applyProtection="1">
      <alignment horizontal="right"/>
      <protection locked="0"/>
    </xf>
    <xf numFmtId="0" fontId="0" fillId="3" borderId="2" xfId="0" applyFill="1" applyBorder="1" applyAlignment="1" applyProtection="1">
      <alignment horizontal="right"/>
      <protection locked="0"/>
    </xf>
    <xf numFmtId="0" fontId="0" fillId="3" borderId="3" xfId="0" applyFill="1" applyBorder="1" applyAlignment="1" applyProtection="1">
      <alignment horizontal="right"/>
      <protection locked="0"/>
    </xf>
    <xf numFmtId="0" fontId="9" fillId="3" borderId="3" xfId="0" applyFont="1" applyFill="1" applyBorder="1" applyAlignment="1" applyProtection="1">
      <alignment horizontal="center"/>
      <protection locked="0"/>
    </xf>
    <xf numFmtId="0" fontId="12" fillId="2" borderId="0" xfId="0" applyFont="1" applyFill="1"/>
    <xf numFmtId="0" fontId="12" fillId="3" borderId="0" xfId="0" applyFont="1" applyFill="1" applyAlignment="1" applyProtection="1">
      <alignment horizontal="center"/>
      <protection locked="0"/>
    </xf>
    <xf numFmtId="20" fontId="0" fillId="5" borderId="1" xfId="0" applyNumberFormat="1" applyFill="1" applyBorder="1" applyAlignment="1">
      <alignment horizontal="center"/>
    </xf>
    <xf numFmtId="20" fontId="0" fillId="5" borderId="0" xfId="0" applyNumberFormat="1" applyFill="1" applyAlignment="1">
      <alignment horizontal="center"/>
    </xf>
    <xf numFmtId="20" fontId="0" fillId="5" borderId="2" xfId="0" applyNumberFormat="1" applyFill="1" applyBorder="1" applyAlignment="1">
      <alignment horizontal="center"/>
    </xf>
    <xf numFmtId="0" fontId="8" fillId="2" borderId="0" xfId="0" applyFont="1" applyFill="1" applyAlignment="1">
      <alignment horizontal="left" vertical="center" wrapText="1"/>
    </xf>
  </cellXfs>
  <cellStyles count="2">
    <cellStyle name="Input" xfId="1" builtinId="20"/>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723900</xdr:colOff>
      <xdr:row>0</xdr:row>
      <xdr:rowOff>6350</xdr:rowOff>
    </xdr:from>
    <xdr:to>
      <xdr:col>8</xdr:col>
      <xdr:colOff>285750</xdr:colOff>
      <xdr:row>2</xdr:row>
      <xdr:rowOff>311150</xdr:rowOff>
    </xdr:to>
    <xdr:pic>
      <xdr:nvPicPr>
        <xdr:cNvPr id="1047" name="Picture 1">
          <a:extLst>
            <a:ext uri="{FF2B5EF4-FFF2-40B4-BE49-F238E27FC236}">
              <a16:creationId xmlns:a16="http://schemas.microsoft.com/office/drawing/2014/main" id="{D7424E66-2715-4AB4-8497-6C41A78852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1150" y="6350"/>
          <a:ext cx="8445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Y62"/>
  <sheetViews>
    <sheetView tabSelected="1" workbookViewId="0">
      <selection activeCell="B29" sqref="B29"/>
    </sheetView>
  </sheetViews>
  <sheetFormatPr defaultColWidth="8.85546875" defaultRowHeight="12.75" x14ac:dyDescent="0.2"/>
  <cols>
    <col min="1" max="1" width="23" style="45" customWidth="1"/>
    <col min="2" max="5" width="15" customWidth="1"/>
    <col min="6" max="6" width="2" customWidth="1"/>
    <col min="7" max="7" width="15.42578125" bestFit="1" customWidth="1"/>
    <col min="8" max="8" width="3" customWidth="1"/>
    <col min="9" max="9" width="6.5703125" customWidth="1"/>
    <col min="10" max="11" width="8.85546875" customWidth="1"/>
    <col min="12" max="12" width="7.42578125" hidden="1" customWidth="1"/>
    <col min="13" max="13" width="9.5703125" style="4" hidden="1" customWidth="1"/>
    <col min="14" max="14" width="7.5703125" style="4" hidden="1" customWidth="1"/>
    <col min="15" max="15" width="8.85546875" hidden="1" customWidth="1"/>
    <col min="16" max="16" width="6.5703125" hidden="1" customWidth="1"/>
    <col min="17" max="22" width="0" hidden="1" customWidth="1"/>
  </cols>
  <sheetData>
    <row r="1" spans="1:25" ht="18" x14ac:dyDescent="0.25">
      <c r="A1" s="1" t="s">
        <v>11</v>
      </c>
      <c r="B1" s="2"/>
      <c r="C1" s="2"/>
      <c r="D1" s="2"/>
      <c r="E1" s="3"/>
      <c r="F1" s="3"/>
      <c r="G1" s="3"/>
      <c r="H1" s="3"/>
      <c r="I1" s="3"/>
    </row>
    <row r="2" spans="1:25" ht="18" x14ac:dyDescent="0.25">
      <c r="A2" s="5" t="s">
        <v>49</v>
      </c>
      <c r="B2" s="2"/>
      <c r="C2" s="2"/>
      <c r="D2" s="2"/>
      <c r="E2" s="3"/>
      <c r="F2" s="3"/>
      <c r="G2" s="3"/>
      <c r="H2" s="3"/>
      <c r="I2" s="3"/>
    </row>
    <row r="3" spans="1:25" ht="29.25" customHeight="1" x14ac:dyDescent="0.25">
      <c r="A3" s="1"/>
      <c r="B3" s="2"/>
      <c r="C3" s="2"/>
      <c r="D3" s="2"/>
      <c r="E3" s="3"/>
      <c r="F3" s="3"/>
      <c r="G3" s="3"/>
      <c r="H3" s="3"/>
      <c r="I3" s="3"/>
      <c r="M3" t="s">
        <v>27</v>
      </c>
      <c r="N3" t="s">
        <v>28</v>
      </c>
      <c r="O3" t="s">
        <v>29</v>
      </c>
      <c r="P3" t="s">
        <v>30</v>
      </c>
    </row>
    <row r="4" spans="1:25" ht="15" customHeight="1" x14ac:dyDescent="0.25">
      <c r="A4" s="6" t="s">
        <v>15</v>
      </c>
      <c r="B4" s="2"/>
      <c r="C4" s="58" t="s">
        <v>36</v>
      </c>
      <c r="D4" s="2"/>
      <c r="E4" s="3"/>
      <c r="F4" s="3"/>
      <c r="G4" s="59" t="s">
        <v>31</v>
      </c>
      <c r="H4" s="3"/>
      <c r="I4" s="3"/>
      <c r="M4" t="s">
        <v>31</v>
      </c>
      <c r="N4" t="s">
        <v>37</v>
      </c>
      <c r="O4" t="s">
        <v>38</v>
      </c>
      <c r="P4" t="s">
        <v>39</v>
      </c>
    </row>
    <row r="5" spans="1:25" ht="63" customHeight="1" x14ac:dyDescent="0.2">
      <c r="A5" s="63" t="str">
        <f>IF($G$4="English",N$4,IF($G$4="French",N$5,IF($G$4="Russian",N$6,IF($G$4="Spanish",N$7,N$4))))</f>
        <v>Nautical twilight is defined as the time in the morning and evening when the centre of the sun is 12° below the horizon.At high latitudes, the sun will not be lower than 12° below the horizon for a period in summer, and will not rise above 12° below the horizon for a period in winter.</v>
      </c>
      <c r="B5" s="63"/>
      <c r="C5" s="63"/>
      <c r="D5" s="63"/>
      <c r="E5" s="63"/>
      <c r="F5" s="63"/>
      <c r="G5" s="63"/>
      <c r="H5" s="63"/>
      <c r="I5" s="63"/>
      <c r="M5" t="s">
        <v>32</v>
      </c>
      <c r="N5" t="s">
        <v>43</v>
      </c>
      <c r="O5" t="s">
        <v>44</v>
      </c>
      <c r="P5" t="s">
        <v>45</v>
      </c>
    </row>
    <row r="6" spans="1:25" ht="54" customHeight="1" x14ac:dyDescent="0.2">
      <c r="A6" s="63" t="str">
        <f>IF($G$4="English",O$4,IF($G$4="French",O$5,IF($G$4="Russian",O$6,IF($G$4="Spanish",O$7,O$4))))</f>
        <v>This calculator provides the times of nautical twilight at a user-defined position, for today and at fortnightly intervals during a selected calendar year. The times of sunrise and sunset are included, and all times are adjusted to reflect the UTC offset of the user's clock.</v>
      </c>
      <c r="B6" s="63"/>
      <c r="C6" s="63"/>
      <c r="D6" s="63"/>
      <c r="E6" s="63"/>
      <c r="F6" s="63"/>
      <c r="G6" s="63"/>
      <c r="H6" s="63"/>
      <c r="I6" s="63"/>
      <c r="M6" t="s">
        <v>33</v>
      </c>
      <c r="N6" t="s">
        <v>46</v>
      </c>
      <c r="O6" t="s">
        <v>47</v>
      </c>
      <c r="P6" t="s">
        <v>48</v>
      </c>
    </row>
    <row r="7" spans="1:25" ht="74.25" customHeight="1" x14ac:dyDescent="0.2">
      <c r="A7" s="63" t="str">
        <f>IF($G$4="English",P$4,IF($G$4="French",P$5,IF($G$4="Russian",P$6,IF($G$4="Spanish",P$7,P$4))))</f>
        <v>The calculator is intended for use with CCAMLR's Conservation Measure 25-02 (Minimisation of the incidental mortality of seabirds in the course of longline fishing). In fisheries where this conservation measure applies, longlines must be set at night only (i.e. during the hours of darkness between the times of nautical twilight) and, wherever possible, the setting of lines should be completed at least three hours before sunrise.</v>
      </c>
      <c r="B7" s="63"/>
      <c r="C7" s="63"/>
      <c r="D7" s="63"/>
      <c r="E7" s="63"/>
      <c r="F7" s="63"/>
      <c r="G7" s="63"/>
      <c r="H7" s="63"/>
      <c r="I7" s="63"/>
      <c r="M7" t="s">
        <v>34</v>
      </c>
      <c r="N7" t="s">
        <v>40</v>
      </c>
      <c r="O7" t="s">
        <v>41</v>
      </c>
      <c r="P7" t="s">
        <v>42</v>
      </c>
    </row>
    <row r="8" spans="1:25" ht="19.5" customHeight="1" x14ac:dyDescent="0.2">
      <c r="A8" s="8"/>
      <c r="B8" s="3"/>
      <c r="C8" s="3"/>
      <c r="D8" s="3"/>
      <c r="E8" s="3"/>
      <c r="F8" s="3"/>
      <c r="G8" s="3"/>
      <c r="H8" s="3"/>
      <c r="I8" s="3"/>
      <c r="M8"/>
      <c r="N8"/>
    </row>
    <row r="9" spans="1:25" s="14" customFormat="1" ht="15" customHeight="1" x14ac:dyDescent="0.25">
      <c r="A9" s="6" t="s">
        <v>17</v>
      </c>
      <c r="B9" s="9"/>
      <c r="C9" s="9"/>
      <c r="D9" s="9"/>
      <c r="E9" s="10" t="s">
        <v>13</v>
      </c>
      <c r="F9" s="11"/>
      <c r="G9" s="12"/>
      <c r="H9" s="12"/>
      <c r="I9" s="13" t="s">
        <v>9</v>
      </c>
      <c r="K9"/>
      <c r="L9"/>
      <c r="M9"/>
      <c r="N9"/>
      <c r="O9"/>
      <c r="P9"/>
      <c r="Q9"/>
      <c r="R9"/>
      <c r="S9"/>
      <c r="T9"/>
      <c r="U9"/>
      <c r="V9"/>
      <c r="W9"/>
      <c r="X9"/>
      <c r="Y9"/>
    </row>
    <row r="10" spans="1:25" ht="15" customHeight="1" x14ac:dyDescent="0.2">
      <c r="A10" s="15" t="s">
        <v>0</v>
      </c>
      <c r="B10" s="16" t="s">
        <v>6</v>
      </c>
      <c r="C10" s="16"/>
      <c r="D10" s="16"/>
      <c r="E10" s="54"/>
      <c r="F10" s="17"/>
      <c r="G10" s="18" t="str">
        <f>IF(E10&lt;0,"South","North")</f>
        <v>North</v>
      </c>
      <c r="H10" s="19" t="s">
        <v>10</v>
      </c>
      <c r="I10" s="20">
        <v>-62</v>
      </c>
      <c r="J10" s="21"/>
      <c r="M10"/>
      <c r="N10"/>
    </row>
    <row r="11" spans="1:25" x14ac:dyDescent="0.2">
      <c r="A11" s="22"/>
      <c r="B11" s="23" t="s">
        <v>5</v>
      </c>
      <c r="C11" s="23"/>
      <c r="D11" s="23"/>
      <c r="E11" s="55"/>
      <c r="F11" s="17"/>
      <c r="G11" s="18" t="str">
        <f>IF(E11&gt;60,"enter MM.mm","")</f>
        <v/>
      </c>
      <c r="H11" s="19" t="s">
        <v>10</v>
      </c>
      <c r="I11" s="20">
        <v>43.75</v>
      </c>
      <c r="J11" s="21"/>
      <c r="M11"/>
      <c r="N11"/>
    </row>
    <row r="12" spans="1:25" x14ac:dyDescent="0.2">
      <c r="A12" s="15" t="s">
        <v>1</v>
      </c>
      <c r="B12" s="16" t="s">
        <v>7</v>
      </c>
      <c r="C12" s="16"/>
      <c r="D12" s="16"/>
      <c r="E12" s="54"/>
      <c r="F12" s="17"/>
      <c r="G12" s="18" t="str">
        <f>IF(E12&lt;0,"West","East")</f>
        <v>East</v>
      </c>
      <c r="H12" s="19" t="s">
        <v>10</v>
      </c>
      <c r="I12" s="20">
        <v>147</v>
      </c>
      <c r="J12" s="21"/>
      <c r="M12"/>
      <c r="N12"/>
    </row>
    <row r="13" spans="1:25" x14ac:dyDescent="0.2">
      <c r="A13" s="22"/>
      <c r="B13" s="23" t="s">
        <v>5</v>
      </c>
      <c r="C13" s="23"/>
      <c r="D13" s="23"/>
      <c r="E13" s="55"/>
      <c r="F13" s="17"/>
      <c r="G13" s="18" t="str">
        <f>IF(E13&gt;60,"enter MM.mm","")</f>
        <v/>
      </c>
      <c r="H13" s="19" t="s">
        <v>10</v>
      </c>
      <c r="I13" s="20">
        <v>10.050000000000001</v>
      </c>
      <c r="M13"/>
      <c r="N13"/>
    </row>
    <row r="14" spans="1:25" x14ac:dyDescent="0.2">
      <c r="A14" s="24"/>
      <c r="B14" s="25"/>
      <c r="C14" s="25"/>
      <c r="D14" s="25"/>
      <c r="E14" s="25"/>
      <c r="F14" s="26"/>
      <c r="G14" s="18"/>
      <c r="H14" s="27"/>
      <c r="I14" s="20"/>
      <c r="M14"/>
      <c r="N14"/>
    </row>
    <row r="15" spans="1:25" ht="15.75" x14ac:dyDescent="0.25">
      <c r="A15" s="6" t="s">
        <v>18</v>
      </c>
      <c r="B15" s="25"/>
      <c r="C15" s="25"/>
      <c r="D15" s="25"/>
      <c r="E15" s="25"/>
      <c r="F15" s="26"/>
      <c r="G15" s="18"/>
      <c r="H15" s="27"/>
      <c r="I15" s="20"/>
      <c r="M15"/>
      <c r="N15"/>
    </row>
    <row r="16" spans="1:25" x14ac:dyDescent="0.2">
      <c r="A16" s="28" t="s">
        <v>3</v>
      </c>
      <c r="B16" s="29" t="s">
        <v>14</v>
      </c>
      <c r="C16" s="29"/>
      <c r="D16" s="29"/>
      <c r="E16" s="56"/>
      <c r="F16" s="17"/>
      <c r="G16" s="18" t="str">
        <f>IF(ABS(E16-E12/15)&gt;2,"check UTC offset","")</f>
        <v/>
      </c>
      <c r="H16" s="19" t="s">
        <v>10</v>
      </c>
      <c r="I16" s="20">
        <v>10</v>
      </c>
    </row>
    <row r="17" spans="1:16" x14ac:dyDescent="0.2">
      <c r="A17" s="7"/>
      <c r="B17" s="3"/>
      <c r="C17" s="3"/>
      <c r="D17" s="3"/>
      <c r="E17" s="3"/>
      <c r="F17" s="30"/>
      <c r="G17" s="18"/>
      <c r="H17" s="27"/>
      <c r="I17" s="31"/>
    </row>
    <row r="18" spans="1:16" x14ac:dyDescent="0.2">
      <c r="A18" s="3"/>
      <c r="B18" s="3"/>
      <c r="C18" s="3"/>
      <c r="D18" s="3"/>
      <c r="E18" s="3"/>
      <c r="F18" s="30"/>
      <c r="G18" s="18"/>
      <c r="H18" s="27"/>
      <c r="I18" s="31"/>
    </row>
    <row r="19" spans="1:16" ht="15.75" x14ac:dyDescent="0.25">
      <c r="A19" s="9" t="s">
        <v>12</v>
      </c>
      <c r="B19" s="3"/>
      <c r="C19" s="3"/>
      <c r="D19" s="3"/>
      <c r="E19" s="3"/>
      <c r="F19" s="30"/>
      <c r="G19" s="18"/>
      <c r="H19" s="27"/>
      <c r="I19" s="31"/>
    </row>
    <row r="20" spans="1:16" x14ac:dyDescent="0.2">
      <c r="A20" s="32" t="s">
        <v>8</v>
      </c>
      <c r="B20" s="32" t="str">
        <f>IF($E$16=0,"Morning (hh:mm UTC)","    Morning (hh:mm local time)")</f>
        <v>Morning (hh:mm UTC)</v>
      </c>
      <c r="C20" s="32"/>
      <c r="D20" s="32" t="str">
        <f>IF($E$16=0,"Evening (hh:mm UTC)","    Evening (hh:mm local time)")</f>
        <v>Evening (hh:mm UTC)</v>
      </c>
      <c r="E20" s="33"/>
      <c r="F20" s="34"/>
      <c r="G20" s="18"/>
      <c r="H20" s="27"/>
      <c r="I20" s="31"/>
    </row>
    <row r="21" spans="1:16" x14ac:dyDescent="0.2">
      <c r="A21" s="35"/>
      <c r="B21" s="36" t="s">
        <v>24</v>
      </c>
      <c r="C21" s="37" t="s">
        <v>25</v>
      </c>
      <c r="D21" s="37" t="s">
        <v>26</v>
      </c>
      <c r="E21" s="36" t="s">
        <v>24</v>
      </c>
      <c r="F21" s="34"/>
      <c r="G21" s="18"/>
      <c r="H21" s="27"/>
      <c r="I21" s="31"/>
    </row>
    <row r="22" spans="1:16" ht="15" x14ac:dyDescent="0.25">
      <c r="A22" s="38">
        <f ca="1">TODAY()</f>
        <v>45993</v>
      </c>
      <c r="B22" s="40">
        <f ca="1">IF(ISERROR((M28)/24),M28,M28/24)</f>
        <v>0.20664103923268892</v>
      </c>
      <c r="C22" s="40">
        <f ca="1">IF(ISERROR((O28)/24),O28,O28/24)</f>
        <v>0.24014764201086833</v>
      </c>
      <c r="D22" s="40">
        <f ca="1">IF(ISERROR((P28)/24),P28,P28/24)</f>
        <v>0.74525690700251845</v>
      </c>
      <c r="E22" s="39">
        <f ca="1">IF(ISERROR((N28)/24),N28,N28/24)</f>
        <v>0.77878371796620993</v>
      </c>
      <c r="F22" s="41"/>
      <c r="G22" s="18"/>
      <c r="H22" s="27"/>
      <c r="I22" s="31"/>
      <c r="M22" t="s">
        <v>4</v>
      </c>
      <c r="N22"/>
    </row>
    <row r="23" spans="1:16" ht="12.75" customHeight="1" x14ac:dyDescent="0.2">
      <c r="A23" s="7"/>
      <c r="B23" s="3"/>
      <c r="C23" s="3"/>
      <c r="D23" s="3"/>
      <c r="E23" s="3"/>
      <c r="F23" s="30"/>
      <c r="G23" s="18"/>
      <c r="H23" s="27"/>
      <c r="I23" s="31"/>
      <c r="M23" t="s">
        <v>19</v>
      </c>
      <c r="N23"/>
    </row>
    <row r="24" spans="1:16" x14ac:dyDescent="0.2">
      <c r="A24" s="24"/>
      <c r="B24" s="3"/>
      <c r="C24" s="3"/>
      <c r="D24" s="3"/>
      <c r="E24" s="3"/>
      <c r="F24" s="30"/>
      <c r="G24" s="18"/>
      <c r="H24" s="27"/>
      <c r="I24" s="31"/>
      <c r="M24" t="s">
        <v>0</v>
      </c>
      <c r="N24">
        <f>IF(E10&lt;0,-1*(ABS(E10)+(E11/60)),(ABS(E10)+(E11/60)))</f>
        <v>0</v>
      </c>
    </row>
    <row r="25" spans="1:16" ht="15.75" x14ac:dyDescent="0.25">
      <c r="A25" s="9" t="s">
        <v>16</v>
      </c>
      <c r="B25" s="3"/>
      <c r="C25" s="3"/>
      <c r="D25" s="3"/>
      <c r="E25" s="3"/>
      <c r="F25" s="30"/>
      <c r="G25" s="18"/>
      <c r="H25" s="27"/>
      <c r="I25" s="31"/>
      <c r="M25" t="s">
        <v>1</v>
      </c>
      <c r="N25">
        <f>IF(E12&lt;0,-1*(ABS(E12)+(E13/60)),(ABS(E12)+(E13/60)))</f>
        <v>0</v>
      </c>
    </row>
    <row r="26" spans="1:16" x14ac:dyDescent="0.2">
      <c r="A26" s="28" t="s">
        <v>35</v>
      </c>
      <c r="B26" s="42"/>
      <c r="C26" s="42"/>
      <c r="D26" s="42"/>
      <c r="E26" s="57">
        <v>2025</v>
      </c>
      <c r="F26" s="30"/>
      <c r="G26" s="18"/>
      <c r="H26" s="19" t="s">
        <v>10</v>
      </c>
      <c r="I26" s="20">
        <v>2019</v>
      </c>
      <c r="M26" t="s">
        <v>3</v>
      </c>
      <c r="N26">
        <f>E16</f>
        <v>0</v>
      </c>
    </row>
    <row r="27" spans="1:16" x14ac:dyDescent="0.2">
      <c r="A27" s="5" t="s">
        <v>2</v>
      </c>
      <c r="B27" s="5" t="str">
        <f>IF($E$16=0,"Morning (hh:mm UTC)","    Morning (hh:mm local time)")</f>
        <v>Morning (hh:mm UTC)</v>
      </c>
      <c r="C27" s="43"/>
      <c r="D27" s="5" t="str">
        <f>IF($E$16=0,"Evening (hh:mm UTC)","    Evening (hh:mm local time)")</f>
        <v>Evening (hh:mm UTC)</v>
      </c>
      <c r="F27" s="44"/>
      <c r="G27" s="44"/>
      <c r="H27" s="3"/>
      <c r="I27" s="3"/>
      <c r="M27" t="s">
        <v>20</v>
      </c>
      <c r="N27" t="s">
        <v>21</v>
      </c>
      <c r="O27" t="s">
        <v>22</v>
      </c>
      <c r="P27" t="s">
        <v>23</v>
      </c>
    </row>
    <row r="28" spans="1:16" x14ac:dyDescent="0.2">
      <c r="B28" s="43" t="s">
        <v>24</v>
      </c>
      <c r="C28" s="46" t="s">
        <v>25</v>
      </c>
      <c r="D28" s="46" t="s">
        <v>26</v>
      </c>
      <c r="E28" s="43" t="s">
        <v>24</v>
      </c>
      <c r="F28" s="43"/>
      <c r="G28" s="3"/>
      <c r="H28" s="3"/>
      <c r="I28" s="3"/>
      <c r="M28">
        <f ca="1">IF(ISERROR(MOD(Sunrise(DaysPriorTo2k(YEAR($A22),MONTH($A22),DAY($A22),0,0,0,1), $N$24, $N$25, 1, -12)/15 + $N$26,24)),"no twilight",MOD(Sunrise(DaysPriorTo2k(YEAR($A22),MONTH($A22),DAY($A22),0,0,0,1), $N$24, $N$25, 1, -12)/15 + $N$26,24))</f>
        <v>4.9593849415845339</v>
      </c>
      <c r="N28">
        <f ca="1">IF(ISERROR((MOD(Sunrise(DaysPriorTo2k(YEAR($A22),MONTH($A22),DAY($A22),0,0,0,1), $N$24, $N$25, 2, -12)/15 + $N$26,24))),"no twilight",MOD(Sunrise(DaysPriorTo2k(YEAR($A22),MONTH($A22),DAY($A22),0,0,0,1), $N$24, $N$25, 2, -12)/15 + $N$26,24))</f>
        <v>18.690809231189039</v>
      </c>
      <c r="O28">
        <f ca="1">IF(ISERROR((MOD(Sunrise(DaysPriorTo2k(YEAR($A22),MONTH($A22),DAY($A22),0,0,0,1), $N$24, $N$25, 1, -0.83)/15 + $N$26,24))),"no sunrise",MOD(Sunrise(DaysPriorTo2k(YEAR($A22),MONTH($A22),DAY($A22),0,0,0,1), $N$24, $N$25, 1, -0.83)/15 + $N$26,24))</f>
        <v>5.7635434082608397</v>
      </c>
      <c r="P28">
        <f ca="1">IF(ISERROR((MOD(Sunrise(DaysPriorTo2k(YEAR($A22),MONTH($A22),DAY($A22),0,0,0,1), $N$24, $N$25, 2, -0.83)/15 + $N$26,24))),"no sunset",MOD(Sunrise(DaysPriorTo2k(YEAR($A22),MONTH($A22),DAY($A22),0,0,0,1), $N$24, $N$25, 2, -0.83)/15 + $N$26,24))</f>
        <v>17.886165768060444</v>
      </c>
    </row>
    <row r="29" spans="1:16" ht="15" x14ac:dyDescent="0.25">
      <c r="A29" s="47">
        <f>DATE($E$26,1,1)</f>
        <v>45658</v>
      </c>
      <c r="B29" s="60">
        <f>IF(ISERROR((M29)/24),M29,M29/24)</f>
        <v>0.21621636218549281</v>
      </c>
      <c r="C29" s="60">
        <f>IF(ISERROR((O29)/24),O29,O29/24)</f>
        <v>0.24997052084004553</v>
      </c>
      <c r="D29" s="60">
        <f>IF(ISERROR((P29)/24),P29,P29/24)</f>
        <v>0.75514152651596766</v>
      </c>
      <c r="E29" s="60">
        <f>IF(ISERROR((N29)/24),N29,N29/24)</f>
        <v>0.78888296454896567</v>
      </c>
      <c r="F29" s="48"/>
      <c r="G29" s="3"/>
      <c r="H29" s="3"/>
      <c r="I29" s="3"/>
      <c r="M29">
        <f t="shared" ref="M29:M53" si="0">IF(ISERROR(MOD(Sunrise(DaysPriorTo2k(YEAR($A29),MONTH($A29),DAY($A29),0,0,0,1), $N$24, $N$25, 1, -12)/15 + $N$26,24)),"no twilight",MOD(Sunrise(DaysPriorTo2k(YEAR($A29),MONTH($A29),DAY($A29),0,0,0,1), $N$24, $N$25, 1, -12)/15 + $N$26,24))</f>
        <v>5.1891926924518277</v>
      </c>
      <c r="N29">
        <f t="shared" ref="N29:N53" si="1">IF(ISERROR((MOD(Sunrise(DaysPriorTo2k(YEAR($A29),MONTH($A29),DAY($A29),0,0,0,1), $N$24, $N$25, 2, -12)/15 + $N$26,24))),"no twilight",MOD(Sunrise(DaysPriorTo2k(YEAR($A29),MONTH($A29),DAY($A29),0,0,0,1), $N$24, $N$25, 2, -12)/15 + $N$26,24))</f>
        <v>18.933191149175176</v>
      </c>
      <c r="O29">
        <f t="shared" ref="O29:O53" si="2">IF(ISERROR((MOD(Sunrise(DaysPriorTo2k(YEAR($A29),MONTH($A29),DAY($A29),0,0,0,1), $N$24, $N$25, 1, -0.83)/15 + $N$26,24))),"no sunrise",MOD(Sunrise(DaysPriorTo2k(YEAR($A29),MONTH($A29),DAY($A29),0,0,0,1), $N$24, $N$25, 1, -0.83)/15 + $N$26,24))</f>
        <v>5.9992925001610926</v>
      </c>
      <c r="P29">
        <f t="shared" ref="P29:P53" si="3">IF(ISERROR((MOD(Sunrise(DaysPriorTo2k(YEAR($A29),MONTH($A29),DAY($A29),0,0,0,1), $N$24, $N$25, 2, -0.83)/15 + $N$26,24))),"no sunset",MOD(Sunrise(DaysPriorTo2k(YEAR($A29),MONTH($A29),DAY($A29),0,0,0,1), $N$24, $N$25, 2, -0.83)/15 + $N$26,24))</f>
        <v>18.123396636383223</v>
      </c>
    </row>
    <row r="30" spans="1:16" ht="15" x14ac:dyDescent="0.25">
      <c r="A30" s="49">
        <f>DATE($E$26,1,15)</f>
        <v>45672</v>
      </c>
      <c r="B30" s="61">
        <f>IF(ISERROR((M30)/24),M30,M30/24)</f>
        <v>0.22077027069879737</v>
      </c>
      <c r="C30" s="61">
        <f>IF(ISERROR((O30)/24),O30,O30/24)</f>
        <v>0.25406365335444764</v>
      </c>
      <c r="D30" s="61">
        <f>IF(ISERROR((P30)/24),P30,P30/24)</f>
        <v>0.75912466554888114</v>
      </c>
      <c r="E30" s="61">
        <f>IF(ISERROR((N30)/24),N30,N30/24)</f>
        <v>0.79239341424182819</v>
      </c>
      <c r="F30" s="48"/>
      <c r="G30" s="3"/>
      <c r="H30" s="3"/>
      <c r="I30" s="3"/>
      <c r="M30">
        <f t="shared" si="0"/>
        <v>5.2984864967711367</v>
      </c>
      <c r="N30">
        <f t="shared" si="1"/>
        <v>19.017441941803877</v>
      </c>
      <c r="O30">
        <f t="shared" si="2"/>
        <v>6.0975276805067438</v>
      </c>
      <c r="P30">
        <f t="shared" si="3"/>
        <v>18.218991973173146</v>
      </c>
    </row>
    <row r="31" spans="1:16" ht="15" x14ac:dyDescent="0.25">
      <c r="A31" s="49">
        <f>DATE($E$26,2,1)</f>
        <v>45689</v>
      </c>
      <c r="B31" s="61">
        <f t="shared" ref="B31:B53" si="4">IF(ISERROR((M31)/24),M31,M31/24)</f>
        <v>0.22453857193051854</v>
      </c>
      <c r="C31" s="61">
        <f t="shared" ref="C31:C53" si="5">IF(ISERROR((O31)/24),O31,O31/24)</f>
        <v>0.2570119190415005</v>
      </c>
      <c r="D31" s="61">
        <f t="shared" ref="D31:D53" si="6">IF(ISERROR((P31)/24),P31,P31/24)</f>
        <v>0.76187660670615553</v>
      </c>
      <c r="E31" s="61">
        <f t="shared" ref="E31:E53" si="7">IF(ISERROR((N31)/24),N31,N31/24)</f>
        <v>0.79432089237685533</v>
      </c>
      <c r="F31" s="48"/>
      <c r="G31" s="3"/>
      <c r="H31" s="3"/>
      <c r="I31" s="3"/>
      <c r="M31">
        <f t="shared" si="0"/>
        <v>5.3889257263324453</v>
      </c>
      <c r="N31">
        <f t="shared" si="1"/>
        <v>19.063701417044527</v>
      </c>
      <c r="O31">
        <f t="shared" si="2"/>
        <v>6.1682860569960125</v>
      </c>
      <c r="P31">
        <f t="shared" si="3"/>
        <v>18.285038560947733</v>
      </c>
    </row>
    <row r="32" spans="1:16" ht="15" x14ac:dyDescent="0.25">
      <c r="A32" s="49">
        <f>DATE($E$26,2,15)</f>
        <v>45703</v>
      </c>
      <c r="B32" s="61">
        <f t="shared" si="4"/>
        <v>0.22562887535783316</v>
      </c>
      <c r="C32" s="61">
        <f t="shared" si="5"/>
        <v>0.25743030035044684</v>
      </c>
      <c r="D32" s="61">
        <f t="shared" si="6"/>
        <v>0.76213375200620803</v>
      </c>
      <c r="E32" s="61">
        <f t="shared" si="7"/>
        <v>0.79391037350348437</v>
      </c>
      <c r="F32" s="48"/>
      <c r="G32" s="3"/>
      <c r="H32" s="3"/>
      <c r="I32" s="3"/>
      <c r="M32">
        <f t="shared" si="0"/>
        <v>5.4150930085879958</v>
      </c>
      <c r="N32">
        <f t="shared" si="1"/>
        <v>19.053848964083624</v>
      </c>
      <c r="O32">
        <f t="shared" si="2"/>
        <v>6.1783272084107237</v>
      </c>
      <c r="P32">
        <f t="shared" si="3"/>
        <v>18.291210048148994</v>
      </c>
    </row>
    <row r="33" spans="1:16" ht="15" x14ac:dyDescent="0.25">
      <c r="A33" s="49">
        <f>DATE($E$26,3,1)</f>
        <v>45717</v>
      </c>
      <c r="B33" s="61">
        <f t="shared" si="4"/>
        <v>0.22493038078811112</v>
      </c>
      <c r="C33" s="61">
        <f t="shared" si="5"/>
        <v>0.2562243819301257</v>
      </c>
      <c r="D33" s="61">
        <f t="shared" si="6"/>
        <v>0.76080469050084876</v>
      </c>
      <c r="E33" s="61">
        <f t="shared" si="7"/>
        <v>0.7920829770893586</v>
      </c>
      <c r="F33" s="48"/>
      <c r="G33" s="3"/>
      <c r="H33" s="3"/>
      <c r="I33" s="3"/>
      <c r="M33">
        <f t="shared" si="0"/>
        <v>5.3983291389146668</v>
      </c>
      <c r="N33">
        <f t="shared" si="1"/>
        <v>19.009991450144607</v>
      </c>
      <c r="O33">
        <f t="shared" si="2"/>
        <v>6.1493851663230163</v>
      </c>
      <c r="P33">
        <f t="shared" si="3"/>
        <v>18.25931257202037</v>
      </c>
    </row>
    <row r="34" spans="1:16" ht="15" x14ac:dyDescent="0.25">
      <c r="A34" s="49">
        <f>DATE($E$26,3,15)</f>
        <v>45731</v>
      </c>
      <c r="B34" s="61">
        <f t="shared" si="4"/>
        <v>0.22283698611182981</v>
      </c>
      <c r="C34" s="61">
        <f t="shared" si="5"/>
        <v>0.25387856652508617</v>
      </c>
      <c r="D34" s="61">
        <f t="shared" si="6"/>
        <v>0.75839370403681006</v>
      </c>
      <c r="E34" s="61">
        <f t="shared" si="7"/>
        <v>0.78943108192673905</v>
      </c>
      <c r="F34" s="48"/>
      <c r="G34" s="3"/>
      <c r="H34" s="3"/>
      <c r="I34" s="3"/>
      <c r="J34" s="50"/>
      <c r="M34">
        <f t="shared" si="0"/>
        <v>5.3480876666839157</v>
      </c>
      <c r="N34">
        <f t="shared" si="1"/>
        <v>18.946345966241736</v>
      </c>
      <c r="O34">
        <f t="shared" si="2"/>
        <v>6.0930855966020685</v>
      </c>
      <c r="P34">
        <f t="shared" si="3"/>
        <v>18.201448896883441</v>
      </c>
    </row>
    <row r="35" spans="1:16" ht="15" x14ac:dyDescent="0.25">
      <c r="A35" s="49">
        <f>DATE($E$26,4,1)</f>
        <v>45748</v>
      </c>
      <c r="B35" s="61">
        <f t="shared" si="4"/>
        <v>0.21925076049304285</v>
      </c>
      <c r="C35" s="61">
        <f t="shared" si="5"/>
        <v>0.25037553722133904</v>
      </c>
      <c r="D35" s="61">
        <f t="shared" si="6"/>
        <v>0.75489885039140436</v>
      </c>
      <c r="E35" s="61">
        <f t="shared" si="7"/>
        <v>0.78603372451427445</v>
      </c>
      <c r="F35" s="48"/>
      <c r="G35" s="3"/>
      <c r="H35" s="3"/>
      <c r="I35" s="3"/>
      <c r="M35">
        <f t="shared" si="0"/>
        <v>5.2620182518330285</v>
      </c>
      <c r="N35">
        <f t="shared" si="1"/>
        <v>18.864809388342586</v>
      </c>
      <c r="O35">
        <f t="shared" si="2"/>
        <v>6.0090128933121374</v>
      </c>
      <c r="P35">
        <f t="shared" si="3"/>
        <v>18.117572409393706</v>
      </c>
    </row>
    <row r="36" spans="1:16" ht="15" x14ac:dyDescent="0.25">
      <c r="A36" s="49">
        <f>DATE($E$26,4,15)</f>
        <v>45762</v>
      </c>
      <c r="B36" s="61">
        <f t="shared" si="4"/>
        <v>0.21619686198692981</v>
      </c>
      <c r="C36" s="61">
        <f t="shared" si="5"/>
        <v>0.2476907158351157</v>
      </c>
      <c r="D36" s="61">
        <f t="shared" si="6"/>
        <v>0.75228825556330492</v>
      </c>
      <c r="E36" s="61">
        <f t="shared" si="7"/>
        <v>0.78380212665666216</v>
      </c>
      <c r="F36" s="48"/>
      <c r="G36" s="3"/>
      <c r="H36" s="3"/>
      <c r="I36" s="3"/>
      <c r="M36">
        <f t="shared" si="0"/>
        <v>5.1887246876863156</v>
      </c>
      <c r="N36">
        <f t="shared" si="1"/>
        <v>18.811251039759892</v>
      </c>
      <c r="O36">
        <f t="shared" si="2"/>
        <v>5.9445771800427769</v>
      </c>
      <c r="P36">
        <f t="shared" si="3"/>
        <v>18.054918133519319</v>
      </c>
    </row>
    <row r="37" spans="1:16" ht="15" x14ac:dyDescent="0.25">
      <c r="A37" s="49">
        <f>DATE($E$26,5,1)</f>
        <v>45778</v>
      </c>
      <c r="B37" s="61">
        <f t="shared" si="4"/>
        <v>0.21343980044602939</v>
      </c>
      <c r="C37" s="61">
        <f t="shared" si="5"/>
        <v>0.24559862792611561</v>
      </c>
      <c r="D37" s="61">
        <f t="shared" si="6"/>
        <v>0.75033665118728077</v>
      </c>
      <c r="E37" s="61">
        <f t="shared" si="7"/>
        <v>0.78252232998411653</v>
      </c>
      <c r="F37" s="48"/>
      <c r="G37" s="3"/>
      <c r="H37" s="3"/>
      <c r="I37" s="3"/>
      <c r="M37">
        <f t="shared" si="0"/>
        <v>5.1225552107047054</v>
      </c>
      <c r="N37">
        <f t="shared" si="1"/>
        <v>18.780535919618796</v>
      </c>
      <c r="O37">
        <f t="shared" si="2"/>
        <v>5.8943670702267745</v>
      </c>
      <c r="P37">
        <f t="shared" si="3"/>
        <v>18.008079628494738</v>
      </c>
    </row>
    <row r="38" spans="1:16" ht="15" x14ac:dyDescent="0.25">
      <c r="A38" s="49">
        <f>DATE($E$26,5,15)</f>
        <v>45792</v>
      </c>
      <c r="B38" s="61">
        <f t="shared" si="4"/>
        <v>0.21220915951803462</v>
      </c>
      <c r="C38" s="61">
        <f t="shared" si="5"/>
        <v>0.24503655476662353</v>
      </c>
      <c r="D38" s="61">
        <f t="shared" si="6"/>
        <v>0.74991816910338904</v>
      </c>
      <c r="E38" s="61">
        <f t="shared" si="7"/>
        <v>0.78277254414511743</v>
      </c>
      <c r="F38" s="48"/>
      <c r="G38" s="3"/>
      <c r="H38" s="3"/>
      <c r="I38" s="3"/>
      <c r="M38">
        <f t="shared" si="0"/>
        <v>5.0930198284328307</v>
      </c>
      <c r="N38">
        <f t="shared" si="1"/>
        <v>18.786541059482818</v>
      </c>
      <c r="O38">
        <f t="shared" si="2"/>
        <v>5.8808773143989646</v>
      </c>
      <c r="P38">
        <f t="shared" si="3"/>
        <v>17.998036058481336</v>
      </c>
    </row>
    <row r="39" spans="1:16" ht="15" x14ac:dyDescent="0.25">
      <c r="A39" s="49">
        <f>DATE($E$26,6,1)</f>
        <v>45809</v>
      </c>
      <c r="B39" s="61">
        <f t="shared" si="4"/>
        <v>0.21250480869999624</v>
      </c>
      <c r="C39" s="61">
        <f t="shared" si="5"/>
        <v>0.24603079860009058</v>
      </c>
      <c r="D39" s="61">
        <f t="shared" si="6"/>
        <v>0.75106225694608397</v>
      </c>
      <c r="E39" s="61">
        <f t="shared" si="7"/>
        <v>0.7846067665362072</v>
      </c>
      <c r="F39" s="48"/>
      <c r="G39" s="3"/>
      <c r="H39" s="3"/>
      <c r="I39" s="3"/>
      <c r="M39">
        <f t="shared" si="0"/>
        <v>5.1001154087999101</v>
      </c>
      <c r="N39">
        <f t="shared" si="1"/>
        <v>18.830562396868974</v>
      </c>
      <c r="O39">
        <f t="shared" si="2"/>
        <v>5.904739166402174</v>
      </c>
      <c r="P39">
        <f t="shared" si="3"/>
        <v>18.025494166706014</v>
      </c>
    </row>
    <row r="40" spans="1:16" ht="15" x14ac:dyDescent="0.25">
      <c r="A40" s="49">
        <f>DATE($E$26,6,15)</f>
        <v>45823</v>
      </c>
      <c r="B40" s="61">
        <f t="shared" si="4"/>
        <v>0.21401858353347758</v>
      </c>
      <c r="C40" s="61">
        <f t="shared" si="5"/>
        <v>0.2478532967760739</v>
      </c>
      <c r="D40" s="61">
        <f t="shared" si="6"/>
        <v>0.75294889281371769</v>
      </c>
      <c r="E40" s="61">
        <f t="shared" si="7"/>
        <v>0.78678939552511939</v>
      </c>
      <c r="F40" s="48"/>
      <c r="G40" s="3"/>
      <c r="H40" s="3"/>
      <c r="I40" s="3"/>
      <c r="M40">
        <f t="shared" si="0"/>
        <v>5.1364460048034619</v>
      </c>
      <c r="N40">
        <f t="shared" si="1"/>
        <v>18.882945492602865</v>
      </c>
      <c r="O40">
        <f t="shared" si="2"/>
        <v>5.9484791226257734</v>
      </c>
      <c r="P40">
        <f t="shared" si="3"/>
        <v>18.070773427529225</v>
      </c>
    </row>
    <row r="41" spans="1:16" ht="15" x14ac:dyDescent="0.25">
      <c r="A41" s="49">
        <f>DATE($E$26,7,1)</f>
        <v>45839</v>
      </c>
      <c r="B41" s="61">
        <f t="shared" si="4"/>
        <v>0.21642775765276681</v>
      </c>
      <c r="C41" s="61">
        <f t="shared" si="5"/>
        <v>0.25020275649607354</v>
      </c>
      <c r="D41" s="61">
        <f t="shared" si="6"/>
        <v>0.75528041292961312</v>
      </c>
      <c r="E41" s="61">
        <f t="shared" si="7"/>
        <v>0.78904490682530148</v>
      </c>
      <c r="F41" s="48"/>
      <c r="G41" s="3"/>
      <c r="H41" s="3"/>
      <c r="I41" s="3"/>
      <c r="M41">
        <f t="shared" si="0"/>
        <v>5.1942661836664037</v>
      </c>
      <c r="N41">
        <f t="shared" si="1"/>
        <v>18.937077763807235</v>
      </c>
      <c r="O41">
        <f t="shared" si="2"/>
        <v>6.0048661559057646</v>
      </c>
      <c r="P41">
        <f t="shared" si="3"/>
        <v>18.126729910310715</v>
      </c>
    </row>
    <row r="42" spans="1:16" ht="15" x14ac:dyDescent="0.25">
      <c r="A42" s="49">
        <f>DATE($E$26,7,15)</f>
        <v>45853</v>
      </c>
      <c r="B42" s="61">
        <f t="shared" si="4"/>
        <v>0.21831829467080585</v>
      </c>
      <c r="C42" s="61">
        <f t="shared" si="5"/>
        <v>0.25169876064325053</v>
      </c>
      <c r="D42" s="61">
        <f t="shared" si="6"/>
        <v>0.75668589537875153</v>
      </c>
      <c r="E42" s="61">
        <f t="shared" si="7"/>
        <v>0.79004470469224231</v>
      </c>
      <c r="F42" s="48"/>
      <c r="G42" s="3"/>
      <c r="H42" s="3"/>
      <c r="I42" s="3"/>
      <c r="M42">
        <f t="shared" si="0"/>
        <v>5.2396390720993402</v>
      </c>
      <c r="N42">
        <f t="shared" si="1"/>
        <v>18.961072912613815</v>
      </c>
      <c r="O42">
        <f t="shared" si="2"/>
        <v>6.0407702554380132</v>
      </c>
      <c r="P42">
        <f t="shared" si="3"/>
        <v>18.160461489090036</v>
      </c>
    </row>
    <row r="43" spans="1:16" ht="15" x14ac:dyDescent="0.25">
      <c r="A43" s="49">
        <f>DATE($E$26,8,1)</f>
        <v>45870</v>
      </c>
      <c r="B43" s="61">
        <f t="shared" si="4"/>
        <v>0.2193630294678359</v>
      </c>
      <c r="C43" s="61">
        <f t="shared" si="5"/>
        <v>0.25199914289362169</v>
      </c>
      <c r="D43" s="61">
        <f t="shared" si="6"/>
        <v>0.75682028654307831</v>
      </c>
      <c r="E43" s="61">
        <f t="shared" si="7"/>
        <v>0.78942903072907444</v>
      </c>
      <c r="F43" s="48"/>
      <c r="G43" s="3"/>
      <c r="H43" s="3"/>
      <c r="I43" s="3"/>
      <c r="M43">
        <f t="shared" si="0"/>
        <v>5.2647127072280613</v>
      </c>
      <c r="N43">
        <f t="shared" si="1"/>
        <v>18.946296737497786</v>
      </c>
      <c r="O43">
        <f t="shared" si="2"/>
        <v>6.0479794294469205</v>
      </c>
      <c r="P43">
        <f t="shared" si="3"/>
        <v>18.163686877033879</v>
      </c>
    </row>
    <row r="44" spans="1:16" ht="15" x14ac:dyDescent="0.25">
      <c r="A44" s="49">
        <f>DATE($E$26,8,15)</f>
        <v>45884</v>
      </c>
      <c r="B44" s="61">
        <f t="shared" si="4"/>
        <v>0.21877118494478409</v>
      </c>
      <c r="C44" s="61">
        <f t="shared" si="5"/>
        <v>0.25075287017923104</v>
      </c>
      <c r="D44" s="61">
        <f t="shared" si="6"/>
        <v>0.75543150106577139</v>
      </c>
      <c r="E44" s="61">
        <f t="shared" si="7"/>
        <v>0.78738790348555343</v>
      </c>
      <c r="F44" s="48"/>
      <c r="G44" s="3"/>
      <c r="H44" s="3"/>
      <c r="I44" s="3"/>
      <c r="M44">
        <f t="shared" si="0"/>
        <v>5.2505084386748182</v>
      </c>
      <c r="N44">
        <f t="shared" si="1"/>
        <v>18.897309683653283</v>
      </c>
      <c r="O44">
        <f t="shared" si="2"/>
        <v>6.0180688843015444</v>
      </c>
      <c r="P44">
        <f t="shared" si="3"/>
        <v>18.130356025578514</v>
      </c>
    </row>
    <row r="45" spans="1:16" ht="15" x14ac:dyDescent="0.25">
      <c r="A45" s="49">
        <f>DATE($E$26,9,1)</f>
        <v>45901</v>
      </c>
      <c r="B45" s="61">
        <f t="shared" si="4"/>
        <v>0.21632762301308972</v>
      </c>
      <c r="C45" s="61">
        <f t="shared" si="5"/>
        <v>0.24767201609211834</v>
      </c>
      <c r="D45" s="61">
        <f t="shared" si="6"/>
        <v>0.75221707440560637</v>
      </c>
      <c r="E45" s="61">
        <f t="shared" si="7"/>
        <v>0.78354503775733386</v>
      </c>
      <c r="F45" s="48"/>
      <c r="G45" s="3"/>
      <c r="H45" s="3"/>
      <c r="I45" s="3"/>
      <c r="M45">
        <f t="shared" si="0"/>
        <v>5.1918629523141533</v>
      </c>
      <c r="N45">
        <f t="shared" si="1"/>
        <v>18.805080906176013</v>
      </c>
      <c r="O45">
        <f t="shared" si="2"/>
        <v>5.9441283862108403</v>
      </c>
      <c r="P45">
        <f t="shared" si="3"/>
        <v>18.053209785734552</v>
      </c>
    </row>
    <row r="46" spans="1:16" ht="15" x14ac:dyDescent="0.25">
      <c r="A46" s="49">
        <f>DATE($E$26,9,15)</f>
        <v>45915</v>
      </c>
      <c r="B46" s="61">
        <f t="shared" si="4"/>
        <v>0.21329792104668333</v>
      </c>
      <c r="C46" s="61">
        <f t="shared" si="5"/>
        <v>0.24435912368617019</v>
      </c>
      <c r="D46" s="61">
        <f t="shared" si="6"/>
        <v>0.74885071540414605</v>
      </c>
      <c r="E46" s="61">
        <f t="shared" si="7"/>
        <v>0.77990596073969221</v>
      </c>
      <c r="F46" s="48"/>
      <c r="G46" s="3"/>
      <c r="H46" s="3"/>
      <c r="I46" s="3"/>
      <c r="M46">
        <f t="shared" si="0"/>
        <v>5.1191501051203998</v>
      </c>
      <c r="N46">
        <f t="shared" si="1"/>
        <v>18.717743057752614</v>
      </c>
      <c r="O46">
        <f t="shared" si="2"/>
        <v>5.8646189684680845</v>
      </c>
      <c r="P46">
        <f t="shared" si="3"/>
        <v>17.972417169699504</v>
      </c>
    </row>
    <row r="47" spans="1:16" ht="15" x14ac:dyDescent="0.25">
      <c r="A47" s="49">
        <f>DATE($E$26,10,1)</f>
        <v>45931</v>
      </c>
      <c r="B47" s="61">
        <f t="shared" si="4"/>
        <v>0.20943481821063925</v>
      </c>
      <c r="C47" s="61">
        <f t="shared" si="5"/>
        <v>0.24050729143848218</v>
      </c>
      <c r="D47" s="61">
        <f t="shared" si="6"/>
        <v>0.74501400803352613</v>
      </c>
      <c r="E47" s="61">
        <f t="shared" si="7"/>
        <v>0.77609375210116571</v>
      </c>
      <c r="F47" s="48"/>
      <c r="G47" s="3"/>
      <c r="H47" s="3"/>
      <c r="I47" s="3"/>
      <c r="M47">
        <f t="shared" si="0"/>
        <v>5.026435637055342</v>
      </c>
      <c r="N47">
        <f t="shared" si="1"/>
        <v>18.626250050427977</v>
      </c>
      <c r="O47">
        <f t="shared" si="2"/>
        <v>5.7721749945235725</v>
      </c>
      <c r="P47">
        <f t="shared" si="3"/>
        <v>17.880336192804627</v>
      </c>
    </row>
    <row r="48" spans="1:16" ht="15" x14ac:dyDescent="0.25">
      <c r="A48" s="49">
        <f>DATE($E$26,10,15)</f>
        <v>45945</v>
      </c>
      <c r="B48" s="61">
        <f t="shared" si="4"/>
        <v>0.20640655120917517</v>
      </c>
      <c r="C48" s="61">
        <f t="shared" si="5"/>
        <v>0.23778737370018818</v>
      </c>
      <c r="D48" s="61">
        <f t="shared" si="6"/>
        <v>0.74237506068073822</v>
      </c>
      <c r="E48" s="61">
        <f t="shared" si="7"/>
        <v>0.77377394295161295</v>
      </c>
      <c r="F48" s="48"/>
      <c r="G48" s="3"/>
      <c r="H48" s="3"/>
      <c r="I48" s="3"/>
      <c r="M48">
        <f t="shared" si="0"/>
        <v>4.9537572290202041</v>
      </c>
      <c r="N48">
        <f t="shared" si="1"/>
        <v>18.57057463083871</v>
      </c>
      <c r="O48">
        <f t="shared" si="2"/>
        <v>5.7068969688045161</v>
      </c>
      <c r="P48">
        <f t="shared" si="3"/>
        <v>17.817001456337717</v>
      </c>
    </row>
    <row r="49" spans="1:16" ht="15" x14ac:dyDescent="0.25">
      <c r="A49" s="49">
        <f>DATE($E$26,11,1)</f>
        <v>45962</v>
      </c>
      <c r="B49" s="61">
        <f t="shared" si="4"/>
        <v>0.20414414586678656</v>
      </c>
      <c r="C49" s="61">
        <f t="shared" si="5"/>
        <v>0.23620676113114203</v>
      </c>
      <c r="D49" s="61">
        <f t="shared" si="6"/>
        <v>0.74096342775397028</v>
      </c>
      <c r="E49" s="61">
        <f t="shared" si="7"/>
        <v>0.77305318518739197</v>
      </c>
      <c r="F49" s="48"/>
      <c r="G49" s="3"/>
      <c r="H49" s="3"/>
      <c r="I49" s="3"/>
      <c r="M49">
        <f t="shared" si="0"/>
        <v>4.8994595008028776</v>
      </c>
      <c r="N49">
        <f t="shared" si="1"/>
        <v>18.553276444497406</v>
      </c>
      <c r="O49">
        <f t="shared" si="2"/>
        <v>5.6689622671474087</v>
      </c>
      <c r="P49">
        <f t="shared" si="3"/>
        <v>17.783122266095287</v>
      </c>
    </row>
    <row r="50" spans="1:16" ht="15" x14ac:dyDescent="0.25">
      <c r="A50" s="49">
        <f>DATE($E$26,11,15)</f>
        <v>45976</v>
      </c>
      <c r="B50" s="61">
        <f t="shared" si="4"/>
        <v>0.20409931780341597</v>
      </c>
      <c r="C50" s="61">
        <f t="shared" si="5"/>
        <v>0.23685395844754287</v>
      </c>
      <c r="D50" s="61">
        <f t="shared" si="6"/>
        <v>0.74177993245357765</v>
      </c>
      <c r="E50" s="61">
        <f t="shared" si="7"/>
        <v>0.77456310765924929</v>
      </c>
      <c r="F50" s="48"/>
      <c r="G50" s="3"/>
      <c r="H50" s="3"/>
      <c r="I50" s="3"/>
      <c r="M50">
        <f t="shared" si="0"/>
        <v>4.8983836272819836</v>
      </c>
      <c r="N50">
        <f t="shared" si="1"/>
        <v>18.589514583821984</v>
      </c>
      <c r="O50">
        <f t="shared" si="2"/>
        <v>5.6844950027410288</v>
      </c>
      <c r="P50">
        <f t="shared" si="3"/>
        <v>17.802718378885864</v>
      </c>
    </row>
    <row r="51" spans="1:16" ht="15" x14ac:dyDescent="0.25">
      <c r="A51" s="49">
        <f>DATE($E$26,12,1)</f>
        <v>45992</v>
      </c>
      <c r="B51" s="61">
        <f t="shared" si="4"/>
        <v>0.20641564708001245</v>
      </c>
      <c r="C51" s="61">
        <f t="shared" si="5"/>
        <v>0.23988608719675422</v>
      </c>
      <c r="D51" s="61">
        <f t="shared" si="6"/>
        <v>0.74498654418760857</v>
      </c>
      <c r="E51" s="61">
        <f t="shared" si="7"/>
        <v>0.77847798896398501</v>
      </c>
      <c r="F51" s="48"/>
      <c r="G51" s="3"/>
      <c r="H51" s="3"/>
      <c r="I51" s="3"/>
      <c r="M51">
        <f t="shared" si="0"/>
        <v>4.9539755299202985</v>
      </c>
      <c r="N51">
        <f t="shared" si="1"/>
        <v>18.68347173513564</v>
      </c>
      <c r="O51">
        <f t="shared" si="2"/>
        <v>5.7572660927221015</v>
      </c>
      <c r="P51">
        <f t="shared" si="3"/>
        <v>17.879677060502605</v>
      </c>
    </row>
    <row r="52" spans="1:16" ht="15" x14ac:dyDescent="0.25">
      <c r="A52" s="49">
        <f>DATE($E$26,12,15)</f>
        <v>46006</v>
      </c>
      <c r="B52" s="61">
        <f t="shared" si="4"/>
        <v>0.21026860878516851</v>
      </c>
      <c r="C52" s="61">
        <f t="shared" si="5"/>
        <v>0.24409870846437556</v>
      </c>
      <c r="D52" s="61">
        <f t="shared" si="6"/>
        <v>0.74928691624168442</v>
      </c>
      <c r="E52" s="61">
        <f t="shared" si="7"/>
        <v>0.78312420776962044</v>
      </c>
      <c r="F52" s="48"/>
      <c r="G52" s="3"/>
      <c r="H52" s="3"/>
      <c r="I52" s="3"/>
      <c r="M52">
        <f t="shared" si="0"/>
        <v>5.0464466108440442</v>
      </c>
      <c r="N52">
        <f t="shared" si="1"/>
        <v>18.79498098647089</v>
      </c>
      <c r="O52">
        <f t="shared" si="2"/>
        <v>5.8583690031450137</v>
      </c>
      <c r="P52">
        <f t="shared" si="3"/>
        <v>17.982885989800426</v>
      </c>
    </row>
    <row r="53" spans="1:16" ht="15" x14ac:dyDescent="0.25">
      <c r="A53" s="51">
        <f>DATE($E$26,12,31)</f>
        <v>46022</v>
      </c>
      <c r="B53" s="62">
        <f t="shared" si="4"/>
        <v>0.21577923334606028</v>
      </c>
      <c r="C53" s="62">
        <f t="shared" si="5"/>
        <v>0.24955837126728694</v>
      </c>
      <c r="D53" s="62">
        <f t="shared" si="6"/>
        <v>0.75473534008824972</v>
      </c>
      <c r="E53" s="62">
        <f t="shared" si="7"/>
        <v>0.78850309289506137</v>
      </c>
      <c r="F53" s="48"/>
      <c r="G53" s="3"/>
      <c r="H53" s="3"/>
      <c r="I53" s="3"/>
      <c r="M53">
        <f t="shared" si="0"/>
        <v>5.1787016003054465</v>
      </c>
      <c r="N53">
        <f t="shared" si="1"/>
        <v>18.924074229481473</v>
      </c>
      <c r="O53">
        <f t="shared" si="2"/>
        <v>5.9894009104148864</v>
      </c>
      <c r="P53">
        <f t="shared" si="3"/>
        <v>18.113648162117993</v>
      </c>
    </row>
    <row r="54" spans="1:16" x14ac:dyDescent="0.2">
      <c r="A54" s="24"/>
      <c r="B54" s="3"/>
      <c r="C54" s="3"/>
      <c r="D54" s="3"/>
      <c r="E54" s="3"/>
      <c r="F54" s="3"/>
      <c r="G54" s="3"/>
      <c r="H54" s="3"/>
      <c r="I54" s="3"/>
    </row>
    <row r="56" spans="1:16" x14ac:dyDescent="0.2">
      <c r="A56" s="52"/>
      <c r="B56" s="53"/>
      <c r="C56" s="53"/>
      <c r="D56" s="53"/>
    </row>
    <row r="57" spans="1:16" x14ac:dyDescent="0.2">
      <c r="A57" s="52"/>
      <c r="B57" s="53"/>
      <c r="C57" s="53"/>
      <c r="D57" s="53"/>
    </row>
    <row r="58" spans="1:16" x14ac:dyDescent="0.2">
      <c r="A58" s="52"/>
      <c r="B58" s="53"/>
      <c r="C58" s="53"/>
      <c r="D58" s="53"/>
    </row>
    <row r="59" spans="1:16" x14ac:dyDescent="0.2">
      <c r="A59" s="52"/>
      <c r="B59" s="53"/>
      <c r="C59" s="53"/>
      <c r="D59" s="53"/>
    </row>
    <row r="60" spans="1:16" x14ac:dyDescent="0.2">
      <c r="A60" s="52"/>
      <c r="B60" s="53"/>
      <c r="C60" s="53"/>
      <c r="D60" s="53"/>
    </row>
    <row r="61" spans="1:16" x14ac:dyDescent="0.2">
      <c r="A61" s="52"/>
      <c r="B61" s="53"/>
      <c r="C61" s="53"/>
      <c r="D61" s="53"/>
    </row>
    <row r="62" spans="1:16" x14ac:dyDescent="0.2">
      <c r="A62" s="52"/>
      <c r="B62" s="53"/>
      <c r="C62" s="53"/>
      <c r="D62" s="53"/>
    </row>
  </sheetData>
  <mergeCells count="3">
    <mergeCell ref="A5:I5"/>
    <mergeCell ref="A6:I6"/>
    <mergeCell ref="A7:I7"/>
  </mergeCells>
  <phoneticPr fontId="15" type="noConversion"/>
  <dataValidations count="2">
    <dataValidation type="list" allowBlank="1" showInputMessage="1" showErrorMessage="1" sqref="E26" xr:uid="{00000000-0002-0000-0000-000000000000}">
      <formula1>"2025, 2026, 2027, 2028, 2029, 2030"</formula1>
    </dataValidation>
    <dataValidation type="list" allowBlank="1" showInputMessage="1" showErrorMessage="1" sqref="G4" xr:uid="{00000000-0002-0000-0000-000001000000}">
      <formula1>$M$4:$M$7</formula1>
    </dataValidation>
  </dataValidations>
  <pageMargins left="0.75" right="0.75" top="1" bottom="1" header="0.5" footer="0.5"/>
  <pageSetup paperSize="9" scale="75" orientation="portrait" horizontalDpi="300" r:id="rId1"/>
  <headerFooter alignWithMargins="0">
    <oddHeader>&amp;A</oddHeader>
    <oddFooter>Page &amp;P</oddFooter>
  </headerFooter>
  <ignoredErrors>
    <ignoredError sqref="G12"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calculator</vt:lpstr>
      <vt:lpstr>calculator!Print_Area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CCAMLR</dc:creator>
  <cp:lastModifiedBy>Isaac Forster</cp:lastModifiedBy>
  <cp:lastPrinted>2014-05-29T06:07:06Z</cp:lastPrinted>
  <dcterms:created xsi:type="dcterms:W3CDTF">1998-10-25T15:29:35Z</dcterms:created>
  <dcterms:modified xsi:type="dcterms:W3CDTF">2025-12-01T21:18:43Z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